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85" windowHeight="328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17"/>
  <c r="F28"/>
  <c r="F29" s="1"/>
  <c r="F30"/>
  <c r="F32" s="1"/>
  <c r="F33" s="1"/>
  <c r="F34" l="1"/>
  <c r="F44"/>
  <c r="F35"/>
  <c r="F36" s="1"/>
  <c r="I17"/>
  <c r="J17"/>
  <c r="K17"/>
  <c r="L17"/>
  <c r="M17"/>
  <c r="N17"/>
  <c r="O17"/>
  <c r="P17"/>
  <c r="Q17"/>
  <c r="I16"/>
  <c r="J16"/>
  <c r="K16"/>
  <c r="L16"/>
  <c r="M16"/>
  <c r="N16"/>
  <c r="O16"/>
  <c r="P16"/>
  <c r="Q16"/>
  <c r="G17"/>
  <c r="H17"/>
  <c r="G16"/>
  <c r="H28" l="1"/>
  <c r="G28"/>
  <c r="H35" l="1"/>
  <c r="H29"/>
  <c r="H34"/>
  <c r="H30"/>
  <c r="H32" s="1"/>
  <c r="H33" s="1"/>
  <c r="G29"/>
  <c r="G34"/>
  <c r="G30"/>
  <c r="G32" s="1"/>
  <c r="G33" s="1"/>
  <c r="G35"/>
  <c r="G44"/>
  <c r="G36" l="1"/>
  <c r="H36"/>
  <c r="H44"/>
  <c r="I28" l="1"/>
  <c r="I29" l="1"/>
  <c r="I30"/>
  <c r="I32" s="1"/>
  <c r="I33" s="1"/>
  <c r="I35"/>
  <c r="I44"/>
  <c r="I34"/>
  <c r="J28"/>
  <c r="J30" s="1"/>
  <c r="J32" s="1"/>
  <c r="J33" s="1"/>
  <c r="I36" l="1"/>
  <c r="J34"/>
  <c r="J44"/>
  <c r="J29"/>
  <c r="J35"/>
  <c r="K28"/>
  <c r="J36" l="1"/>
  <c r="K34"/>
  <c r="K30"/>
  <c r="K32" s="1"/>
  <c r="K33" s="1"/>
  <c r="K29"/>
  <c r="K35"/>
  <c r="K44"/>
  <c r="L28"/>
  <c r="L34" s="1"/>
  <c r="K36" l="1"/>
  <c r="L44"/>
  <c r="L30"/>
  <c r="L32" s="1"/>
  <c r="L33" s="1"/>
  <c r="L35"/>
  <c r="L29"/>
  <c r="L36" l="1"/>
  <c r="M28"/>
  <c r="M44" s="1"/>
  <c r="M30"/>
  <c r="M32" s="1"/>
  <c r="M33" s="1"/>
  <c r="N28"/>
  <c r="M34" l="1"/>
  <c r="M29"/>
  <c r="M35"/>
  <c r="N30"/>
  <c r="N32" s="1"/>
  <c r="N33" s="1"/>
  <c r="N29"/>
  <c r="N35"/>
  <c r="N44"/>
  <c r="N34"/>
  <c r="M36" l="1"/>
  <c r="N36"/>
  <c r="O28"/>
  <c r="O35" s="1"/>
  <c r="O34" l="1"/>
  <c r="O44"/>
  <c r="O30"/>
  <c r="O32" s="1"/>
  <c r="O33" s="1"/>
  <c r="O29"/>
  <c r="P28"/>
  <c r="P34" s="1"/>
  <c r="P35" l="1"/>
  <c r="P44"/>
  <c r="P30"/>
  <c r="P32" s="1"/>
  <c r="P33" s="1"/>
  <c r="O36"/>
  <c r="P29"/>
  <c r="Q28"/>
  <c r="Q44" l="1"/>
  <c r="F50"/>
  <c r="P36"/>
  <c r="Q34"/>
  <c r="Q29"/>
  <c r="Q30"/>
  <c r="Q32" s="1"/>
  <c r="Q33" s="1"/>
  <c r="Q35"/>
  <c r="Q36" l="1"/>
  <c r="F38" s="1"/>
  <c r="H16"/>
  <c r="F51" l="1"/>
  <c r="F39"/>
  <c r="F40" s="1"/>
  <c r="F46" s="1"/>
  <c r="J38"/>
  <c r="J39" s="1"/>
  <c r="J40" s="1"/>
  <c r="J46" s="1"/>
  <c r="G38"/>
  <c r="G39" s="1"/>
  <c r="G40" s="1"/>
  <c r="G46" s="1"/>
  <c r="M38"/>
  <c r="M39" s="1"/>
  <c r="M40" s="1"/>
  <c r="M46" s="1"/>
  <c r="K38"/>
  <c r="K39" s="1"/>
  <c r="K40" s="1"/>
  <c r="K46" s="1"/>
  <c r="N38"/>
  <c r="N39" s="1"/>
  <c r="N40" s="1"/>
  <c r="N46" s="1"/>
  <c r="H38"/>
  <c r="H39" s="1"/>
  <c r="H40" s="1"/>
  <c r="H46" s="1"/>
  <c r="L38"/>
  <c r="L39" s="1"/>
  <c r="L40" s="1"/>
  <c r="L46" s="1"/>
  <c r="O38"/>
  <c r="O39" s="1"/>
  <c r="O40" s="1"/>
  <c r="O46" s="1"/>
  <c r="I38"/>
  <c r="I39" s="1"/>
  <c r="I40" s="1"/>
  <c r="I46" s="1"/>
  <c r="P38"/>
  <c r="P39" s="1"/>
  <c r="P40" s="1"/>
  <c r="P46" s="1"/>
  <c r="Q38"/>
  <c r="Q39" s="1"/>
  <c r="Q40" s="1"/>
  <c r="Q46" s="1"/>
</calcChain>
</file>

<file path=xl/sharedStrings.xml><?xml version="1.0" encoding="utf-8"?>
<sst xmlns="http://schemas.openxmlformats.org/spreadsheetml/2006/main" count="85" uniqueCount="72">
  <si>
    <t>L</t>
  </si>
  <si>
    <t>(м)</t>
  </si>
  <si>
    <t>S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</si>
  <si>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</si>
  <si>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Мощность одного контура</t>
  </si>
  <si>
    <t>Q</t>
  </si>
  <si>
    <r>
      <rPr>
        <vertAlign val="superscript"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204"/>
        <scheme val="minor"/>
      </rPr>
      <t>C</t>
    </r>
  </si>
  <si>
    <t>кВт</t>
  </si>
  <si>
    <t>Разница температур (на подачае и обратке)</t>
  </si>
  <si>
    <t xml:space="preserve">Площадь покрытия контуром </t>
  </si>
  <si>
    <t>Длина труб в метрах</t>
  </si>
  <si>
    <t>ΔP линейное сопротивление</t>
  </si>
  <si>
    <t>ΔP сопротивление регулирующего клапана</t>
  </si>
  <si>
    <t>ΔP сопротивление запорного клапана</t>
  </si>
  <si>
    <r>
      <rPr>
        <b/>
        <i/>
        <sz val="12"/>
        <color theme="1"/>
        <rFont val="Calibri"/>
        <family val="2"/>
        <charset val="204"/>
        <scheme val="minor"/>
      </rPr>
      <t xml:space="preserve">S = L </t>
    </r>
    <r>
      <rPr>
        <b/>
        <sz val="12"/>
        <color theme="1"/>
        <rFont val="Calibri"/>
        <family val="2"/>
        <charset val="204"/>
      </rPr>
      <t>·</t>
    </r>
    <r>
      <rPr>
        <b/>
        <i/>
        <sz val="12"/>
        <color theme="1"/>
        <rFont val="Calibri"/>
        <family val="2"/>
        <charset val="204"/>
        <scheme val="minor"/>
      </rPr>
      <t xml:space="preserve"> Ш</t>
    </r>
    <r>
      <rPr>
        <i/>
        <vertAlign val="subscript"/>
        <sz val="11"/>
        <color theme="1"/>
        <rFont val="Calibri"/>
        <family val="2"/>
        <charset val="204"/>
        <scheme val="minor"/>
      </rPr>
      <t>(шаг укладки в метрах)</t>
    </r>
  </si>
  <si>
    <r>
      <rPr>
        <b/>
        <i/>
        <sz val="12"/>
        <color theme="1"/>
        <rFont val="Calibri"/>
        <family val="2"/>
        <charset val="204"/>
        <scheme val="minor"/>
      </rPr>
      <t>Q = S · Q</t>
    </r>
    <r>
      <rPr>
        <b/>
        <i/>
        <vertAlign val="subscript"/>
        <sz val="11"/>
        <color theme="1"/>
        <rFont val="Calibri"/>
        <family val="2"/>
        <charset val="204"/>
        <scheme val="minor"/>
      </rPr>
      <t xml:space="preserve"> уд</t>
    </r>
  </si>
  <si>
    <r>
      <rPr>
        <b/>
        <i/>
        <sz val="11"/>
        <color theme="1"/>
        <rFont val="Calibri"/>
        <family val="2"/>
        <charset val="204"/>
      </rPr>
      <t>Δ</t>
    </r>
    <r>
      <rPr>
        <b/>
        <i/>
        <sz val="11"/>
        <color theme="1"/>
        <rFont val="Calibri"/>
        <family val="2"/>
        <charset val="204"/>
        <scheme val="minor"/>
      </rPr>
      <t>T</t>
    </r>
  </si>
  <si>
    <r>
      <rPr>
        <i/>
        <sz val="11"/>
        <color theme="1"/>
        <rFont val="Calibri"/>
        <family val="2"/>
        <charset val="204"/>
        <scheme val="minor"/>
      </rPr>
      <t xml:space="preserve">Q </t>
    </r>
    <r>
      <rPr>
        <i/>
        <vertAlign val="subscript"/>
        <sz val="11"/>
        <color theme="1"/>
        <rFont val="Calibri"/>
        <family val="2"/>
        <charset val="204"/>
        <scheme val="minor"/>
      </rPr>
      <t>уд</t>
    </r>
    <r>
      <rPr>
        <sz val="11"/>
        <color theme="1"/>
        <rFont val="Calibri"/>
        <family val="2"/>
        <charset val="204"/>
        <scheme val="minor"/>
      </rPr>
      <t xml:space="preserve"> = 60 - 75 вт/м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внутренняя зона</t>
    </r>
  </si>
  <si>
    <t>G контура (расход)</t>
  </si>
  <si>
    <t>л/час</t>
  </si>
  <si>
    <t>V Скорость теплоносителя</t>
  </si>
  <si>
    <t>м/сек</t>
  </si>
  <si>
    <r>
      <t>D</t>
    </r>
    <r>
      <rPr>
        <b/>
        <i/>
        <vertAlign val="subscript"/>
        <sz val="11"/>
        <color theme="1"/>
        <rFont val="Calibri"/>
        <family val="2"/>
        <charset val="204"/>
      </rPr>
      <t>i</t>
    </r>
  </si>
  <si>
    <t>мм</t>
  </si>
  <si>
    <t>Внутренний диаметр трубопроводов</t>
  </si>
  <si>
    <t>мм.вод.ст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</si>
  <si>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</si>
  <si>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ΔP настройки регулирующего клапана</t>
  </si>
  <si>
    <r>
      <t>К</t>
    </r>
    <r>
      <rPr>
        <vertAlign val="subscript"/>
        <sz val="11"/>
        <color theme="1"/>
        <rFont val="Calibri"/>
        <family val="2"/>
        <charset val="204"/>
        <scheme val="minor"/>
      </rPr>
      <t>V</t>
    </r>
    <r>
      <rPr>
        <sz val="11"/>
        <color theme="1"/>
        <rFont val="Calibri"/>
        <family val="2"/>
        <charset val="204"/>
        <scheme val="minor"/>
      </rPr>
      <t xml:space="preserve"> настройки</t>
    </r>
  </si>
  <si>
    <r>
      <t>кг/м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</si>
  <si>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Р</t>
  </si>
  <si>
    <t>л/мин</t>
  </si>
  <si>
    <t>ΔP полное сопротивление контура</t>
  </si>
  <si>
    <t>ΔP лин. + местное сопротивление + подводки</t>
  </si>
  <si>
    <t>ΔP максимального контура</t>
  </si>
  <si>
    <t>Ư</t>
  </si>
  <si>
    <t>(Напор насоса) общие потери давления</t>
  </si>
  <si>
    <t>(Расход насоса) общий расход</t>
  </si>
  <si>
    <t>Данные для подбора насоса:</t>
  </si>
  <si>
    <t>Константы:</t>
  </si>
  <si>
    <t>Промежуточные результаты:</t>
  </si>
  <si>
    <r>
      <rPr>
        <i/>
        <sz val="11"/>
        <color theme="1"/>
        <rFont val="Calibri"/>
        <family val="2"/>
        <charset val="204"/>
        <scheme val="minor"/>
      </rPr>
      <t>r</t>
    </r>
    <r>
      <rPr>
        <sz val="11"/>
        <color theme="1"/>
        <rFont val="Calibri"/>
        <family val="2"/>
        <charset val="204"/>
        <scheme val="minor"/>
      </rPr>
      <t xml:space="preserve"> коэфициент таб.</t>
    </r>
  </si>
  <si>
    <r>
      <t xml:space="preserve">Плотность воды при Т=50 </t>
    </r>
    <r>
      <rPr>
        <vertAlign val="superscript"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204"/>
        <scheme val="minor"/>
      </rPr>
      <t>C</t>
    </r>
  </si>
  <si>
    <r>
      <t xml:space="preserve">Вязкость воды при Т=50 </t>
    </r>
    <r>
      <rPr>
        <vertAlign val="superscript"/>
        <sz val="11"/>
        <color theme="1"/>
        <rFont val="Calibri"/>
        <family val="2"/>
        <charset val="204"/>
        <scheme val="minor"/>
      </rPr>
      <t>o</t>
    </r>
    <r>
      <rPr>
        <sz val="11"/>
        <color theme="1"/>
        <rFont val="Calibri"/>
        <family val="2"/>
        <charset val="204"/>
        <scheme val="minor"/>
      </rPr>
      <t>C</t>
    </r>
  </si>
  <si>
    <r>
      <t>мм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/сек</t>
    </r>
  </si>
  <si>
    <r>
      <rPr>
        <i/>
        <sz val="11"/>
        <color theme="1"/>
        <rFont val="Calibri"/>
        <family val="2"/>
        <charset val="204"/>
        <scheme val="minor"/>
      </rPr>
      <t xml:space="preserve">Q </t>
    </r>
    <r>
      <rPr>
        <i/>
        <vertAlign val="subscript"/>
        <sz val="11"/>
        <rFont val="Calibri"/>
        <family val="2"/>
        <charset val="204"/>
        <scheme val="minor"/>
      </rPr>
      <t>уд</t>
    </r>
    <r>
      <rPr>
        <sz val="11"/>
        <rFont val="Calibri"/>
        <family val="2"/>
        <charset val="204"/>
        <scheme val="minor"/>
      </rPr>
      <t xml:space="preserve"> = 150 вт/м</t>
    </r>
    <r>
      <rPr>
        <vertAlign val="super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 xml:space="preserve"> - крае</t>
    </r>
    <r>
      <rPr>
        <sz val="11"/>
        <color theme="1"/>
        <rFont val="Calibri"/>
        <family val="2"/>
        <charset val="204"/>
        <scheme val="minor"/>
      </rPr>
      <t>вая зона</t>
    </r>
  </si>
  <si>
    <t>Вставьте значения:</t>
  </si>
  <si>
    <r>
      <t>К</t>
    </r>
    <r>
      <rPr>
        <vertAlign val="subscript"/>
        <sz val="11"/>
        <rFont val="Calibri"/>
        <family val="2"/>
        <charset val="204"/>
        <scheme val="minor"/>
      </rPr>
      <t>V</t>
    </r>
    <r>
      <rPr>
        <sz val="11"/>
        <rFont val="Calibri"/>
        <family val="2"/>
        <charset val="204"/>
        <scheme val="minor"/>
      </rPr>
      <t xml:space="preserve"> запорного клапана </t>
    </r>
  </si>
  <si>
    <r>
      <t>К</t>
    </r>
    <r>
      <rPr>
        <vertAlign val="subscript"/>
        <sz val="11"/>
        <rFont val="Calibri"/>
        <family val="2"/>
        <charset val="204"/>
        <scheme val="minor"/>
      </rPr>
      <t>V</t>
    </r>
    <r>
      <rPr>
        <sz val="11"/>
        <rFont val="Calibri"/>
        <family val="2"/>
        <charset val="204"/>
        <scheme val="minor"/>
      </rPr>
      <t xml:space="preserve"> регулирующего клапана </t>
    </r>
  </si>
  <si>
    <r>
      <t>К</t>
    </r>
    <r>
      <rPr>
        <vertAlign val="subscript"/>
        <sz val="11"/>
        <rFont val="Calibri"/>
        <family val="2"/>
        <charset val="204"/>
        <scheme val="minor"/>
      </rPr>
      <t>V</t>
    </r>
    <r>
      <rPr>
        <sz val="11"/>
        <rFont val="Calibri"/>
        <family val="2"/>
        <charset val="204"/>
        <scheme val="minor"/>
      </rPr>
      <t xml:space="preserve"> коллектора подачи/обратки</t>
    </r>
  </si>
  <si>
    <r>
      <t>К</t>
    </r>
    <r>
      <rPr>
        <vertAlign val="subscript"/>
        <sz val="11"/>
        <rFont val="Calibri"/>
        <family val="2"/>
        <charset val="204"/>
        <scheme val="minor"/>
      </rPr>
      <t>V</t>
    </r>
    <r>
      <rPr>
        <sz val="11"/>
        <rFont val="Calibri"/>
        <family val="2"/>
        <charset val="204"/>
        <scheme val="minor"/>
      </rPr>
      <t xml:space="preserve"> шарового крана</t>
    </r>
  </si>
  <si>
    <t>значение</t>
  </si>
  <si>
    <r>
      <rPr>
        <i/>
        <sz val="11"/>
        <color theme="1"/>
        <rFont val="Calibri"/>
        <family val="2"/>
        <charset val="204"/>
        <scheme val="minor"/>
      </rPr>
      <t xml:space="preserve">Q </t>
    </r>
    <r>
      <rPr>
        <i/>
        <vertAlign val="subscript"/>
        <sz val="11"/>
        <color theme="1"/>
        <rFont val="Calibri"/>
        <family val="2"/>
        <charset val="204"/>
        <scheme val="minor"/>
      </rPr>
      <t>уд</t>
    </r>
    <r>
      <rPr>
        <sz val="11"/>
        <color theme="1"/>
        <rFont val="Calibri"/>
        <family val="2"/>
        <charset val="204"/>
        <scheme val="minor"/>
      </rPr>
      <t xml:space="preserve"> = </t>
    </r>
    <r>
      <rPr>
        <b/>
        <sz val="11"/>
        <color theme="1"/>
        <rFont val="Calibri"/>
        <family val="2"/>
        <charset val="204"/>
        <scheme val="minor"/>
      </rPr>
      <t>100 вт/м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промежуточная зона (нормативное значение)</t>
    </r>
  </si>
  <si>
    <t>Справочноя информация:</t>
  </si>
  <si>
    <t>Средний шаг укладки в м.</t>
  </si>
  <si>
    <r>
      <t>Полезная мощность пола, кВт/м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</si>
  <si>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Результат (значения настроек):</t>
  </si>
  <si>
    <t>номера контуров</t>
  </si>
  <si>
    <t xml:space="preserve">1-й </t>
  </si>
  <si>
    <t xml:space="preserve">2-й </t>
  </si>
  <si>
    <t>3-й</t>
  </si>
  <si>
    <t>4-й</t>
  </si>
  <si>
    <t>5-й</t>
  </si>
  <si>
    <t>6-й</t>
  </si>
  <si>
    <t>7-й</t>
  </si>
  <si>
    <t>8-й</t>
  </si>
  <si>
    <t>9-й</t>
  </si>
  <si>
    <t>10-й</t>
  </si>
  <si>
    <t xml:space="preserve">11-й </t>
  </si>
  <si>
    <t xml:space="preserve">12-й </t>
  </si>
  <si>
    <r>
      <t xml:space="preserve">ΔP настройка расходомера </t>
    </r>
    <r>
      <rPr>
        <b/>
        <sz val="14"/>
        <color rgb="FFFF0000"/>
        <rFont val="Calibri"/>
        <family val="2"/>
        <charset val="204"/>
        <scheme val="minor"/>
      </rPr>
      <t>(серия 664, 671, 668S1)</t>
    </r>
  </si>
  <si>
    <r>
      <t xml:space="preserve">Настройка микрометрического регулятора </t>
    </r>
    <r>
      <rPr>
        <b/>
        <sz val="14"/>
        <color rgb="FFFF0000"/>
        <rFont val="Calibri"/>
        <family val="2"/>
        <charset val="204"/>
        <scheme val="minor"/>
      </rPr>
      <t>(серия 662, 668)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</si>
</sst>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2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i/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b/>
      <i/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vertAlign val="subscript"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vertAlign val="subscript"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1"/>
      <name val="Arial"/>
      <family val="2"/>
      <charset val="204"/>
    </font>
    <font>
      <b/>
      <sz val="15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0" fillId="0" borderId="1" xfId="0" applyFont="1" applyBorder="1" applyAlignment="1">
      <alignment horizontal="center"/>
    </xf>
    <xf numFmtId="2" fontId="0" fillId="2" borderId="1" xfId="0" applyNumberFormat="1" applyFill="1" applyBorder="1"/>
    <xf numFmtId="0" fontId="13" fillId="0" borderId="0" xfId="0" applyFont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1" fontId="0" fillId="2" borderId="1" xfId="0" applyNumberForma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2" borderId="5" xfId="0" applyNumberFormat="1" applyFill="1" applyBorder="1"/>
    <xf numFmtId="0" fontId="0" fillId="0" borderId="6" xfId="0" applyBorder="1" applyAlignment="1">
      <alignment horizontal="center" vertical="center"/>
    </xf>
    <xf numFmtId="1" fontId="0" fillId="2" borderId="6" xfId="0" applyNumberFormat="1" applyFill="1" applyBorder="1"/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19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/>
    <xf numFmtId="0" fontId="14" fillId="0" borderId="0" xfId="0" applyFont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1" fontId="14" fillId="0" borderId="0" xfId="0" applyNumberFormat="1" applyFont="1"/>
    <xf numFmtId="1" fontId="22" fillId="0" borderId="0" xfId="0" applyNumberFormat="1" applyFont="1"/>
    <xf numFmtId="2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24" fillId="4" borderId="1" xfId="0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164" fontId="24" fillId="5" borderId="1" xfId="0" applyNumberFormat="1" applyFont="1" applyFill="1" applyBorder="1" applyAlignment="1">
      <alignment horizontal="center"/>
    </xf>
    <xf numFmtId="0" fontId="16" fillId="0" borderId="0" xfId="0" applyFont="1"/>
    <xf numFmtId="0" fontId="28" fillId="6" borderId="0" xfId="0" applyFont="1" applyFill="1" applyAlignment="1"/>
    <xf numFmtId="0" fontId="26" fillId="6" borderId="0" xfId="0" applyFont="1" applyFill="1"/>
    <xf numFmtId="0" fontId="0" fillId="6" borderId="0" xfId="0" applyFill="1"/>
    <xf numFmtId="164" fontId="29" fillId="6" borderId="1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165" fontId="29" fillId="6" borderId="1" xfId="0" applyNumberFormat="1" applyFont="1" applyFill="1" applyBorder="1" applyAlignment="1">
      <alignment horizontal="center" vertical="center"/>
    </xf>
    <xf numFmtId="0" fontId="27" fillId="7" borderId="0" xfId="0" applyFont="1" applyFill="1"/>
    <xf numFmtId="2" fontId="24" fillId="7" borderId="1" xfId="0" applyNumberFormat="1" applyFont="1" applyFill="1" applyBorder="1" applyAlignment="1">
      <alignment horizontal="center"/>
    </xf>
    <xf numFmtId="1" fontId="24" fillId="7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" xfId="0" applyFont="1" applyBorder="1" applyAlignment="1"/>
    <xf numFmtId="0" fontId="0" fillId="0" borderId="0" xfId="0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1"/>
  <sheetViews>
    <sheetView tabSelected="1" zoomScale="80" zoomScaleNormal="80" workbookViewId="0">
      <selection activeCell="J51" sqref="J51"/>
    </sheetView>
  </sheetViews>
  <sheetFormatPr defaultRowHeight="15"/>
  <cols>
    <col min="1" max="1" width="11.28515625" customWidth="1"/>
    <col min="2" max="2" width="14.42578125" customWidth="1"/>
    <col min="3" max="3" width="26.5703125" customWidth="1"/>
    <col min="5" max="5" width="10" customWidth="1"/>
    <col min="6" max="7" width="10.28515625" customWidth="1"/>
    <col min="8" max="8" width="10.5703125" customWidth="1"/>
    <col min="9" max="9" width="10.7109375" customWidth="1"/>
    <col min="10" max="10" width="10.28515625" customWidth="1"/>
    <col min="11" max="11" width="10.5703125" customWidth="1"/>
    <col min="12" max="12" width="10.140625" customWidth="1"/>
    <col min="13" max="13" width="10.5703125" customWidth="1"/>
    <col min="14" max="14" width="10.85546875" customWidth="1"/>
    <col min="15" max="15" width="11.140625" customWidth="1"/>
    <col min="16" max="16" width="11.28515625" customWidth="1"/>
    <col min="17" max="17" width="11.42578125" customWidth="1"/>
  </cols>
  <sheetData>
    <row r="1" spans="1:22"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2" ht="21">
      <c r="A3" s="44" t="s">
        <v>46</v>
      </c>
      <c r="B3" s="45"/>
      <c r="C3" s="46"/>
      <c r="F3" s="64" t="s">
        <v>57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22">
      <c r="F4" s="54" t="s">
        <v>58</v>
      </c>
      <c r="G4" s="54" t="s">
        <v>59</v>
      </c>
      <c r="H4" s="54" t="s">
        <v>60</v>
      </c>
      <c r="I4" s="54" t="s">
        <v>61</v>
      </c>
      <c r="J4" s="54" t="s">
        <v>62</v>
      </c>
      <c r="K4" s="54" t="s">
        <v>63</v>
      </c>
      <c r="L4" s="54" t="s">
        <v>64</v>
      </c>
      <c r="M4" s="54" t="s">
        <v>65</v>
      </c>
      <c r="N4" s="54" t="s">
        <v>66</v>
      </c>
      <c r="O4" s="54" t="s">
        <v>67</v>
      </c>
      <c r="P4" s="54" t="s">
        <v>68</v>
      </c>
      <c r="Q4" s="54" t="s">
        <v>69</v>
      </c>
    </row>
    <row r="5" spans="1:22" ht="7.5" customHeight="1"/>
    <row r="6" spans="1:22" s="15" customFormat="1" ht="18.75" customHeight="1">
      <c r="A6" s="55" t="s">
        <v>10</v>
      </c>
      <c r="B6" s="56"/>
      <c r="C6" s="57"/>
      <c r="D6" s="37" t="s">
        <v>0</v>
      </c>
      <c r="E6" s="18" t="s">
        <v>1</v>
      </c>
      <c r="F6" s="47">
        <v>80</v>
      </c>
      <c r="G6" s="47">
        <v>40</v>
      </c>
      <c r="H6" s="47">
        <v>70</v>
      </c>
      <c r="I6" s="47">
        <v>50</v>
      </c>
      <c r="J6" s="47">
        <v>60</v>
      </c>
      <c r="K6" s="47">
        <v>50</v>
      </c>
      <c r="L6" s="47">
        <v>60</v>
      </c>
      <c r="M6" s="47">
        <v>80</v>
      </c>
      <c r="N6" s="47">
        <v>50</v>
      </c>
      <c r="O6" s="47">
        <v>0</v>
      </c>
      <c r="P6" s="47">
        <v>0</v>
      </c>
      <c r="Q6" s="47">
        <v>0</v>
      </c>
      <c r="S6" s="38"/>
    </row>
    <row r="7" spans="1:22" ht="7.5" customHeight="1">
      <c r="A7" s="8"/>
      <c r="B7" s="8"/>
      <c r="C7" s="8"/>
      <c r="D7" s="8"/>
      <c r="E7" s="8"/>
      <c r="F7" s="48"/>
      <c r="G7" s="48"/>
      <c r="H7" s="48"/>
      <c r="I7" s="48"/>
      <c r="J7" s="48"/>
      <c r="K7" s="48"/>
      <c r="L7" s="48"/>
      <c r="M7" s="48"/>
      <c r="N7" s="49"/>
      <c r="O7" s="49"/>
      <c r="P7" s="49"/>
      <c r="Q7" s="49"/>
    </row>
    <row r="8" spans="1:22" s="15" customFormat="1" ht="18.75" customHeight="1">
      <c r="A8" s="55" t="s">
        <v>9</v>
      </c>
      <c r="B8" s="56"/>
      <c r="C8" s="57"/>
      <c r="D8" s="37" t="s">
        <v>2</v>
      </c>
      <c r="E8" s="18" t="s">
        <v>3</v>
      </c>
      <c r="F8" s="47">
        <v>8</v>
      </c>
      <c r="G8" s="47">
        <v>8</v>
      </c>
      <c r="H8" s="47">
        <v>7</v>
      </c>
      <c r="I8" s="47">
        <v>8</v>
      </c>
      <c r="J8" s="47">
        <v>6</v>
      </c>
      <c r="K8" s="47">
        <v>10</v>
      </c>
      <c r="L8" s="47">
        <v>6</v>
      </c>
      <c r="M8" s="47">
        <v>9</v>
      </c>
      <c r="N8" s="47">
        <v>5</v>
      </c>
      <c r="O8" s="47">
        <v>0</v>
      </c>
      <c r="P8" s="47">
        <v>0</v>
      </c>
      <c r="Q8" s="47">
        <v>0</v>
      </c>
      <c r="S8" s="38" t="s">
        <v>14</v>
      </c>
    </row>
    <row r="9" spans="1:22" ht="7.5" customHeight="1">
      <c r="A9" s="8"/>
      <c r="B9" s="8"/>
      <c r="C9" s="8"/>
      <c r="D9" s="8"/>
      <c r="E9" s="8"/>
      <c r="F9" s="48"/>
      <c r="G9" s="48"/>
      <c r="H9" s="48"/>
      <c r="I9" s="48"/>
      <c r="J9" s="48"/>
      <c r="K9" s="48"/>
      <c r="L9" s="48"/>
      <c r="M9" s="48"/>
      <c r="N9" s="49"/>
      <c r="O9" s="49"/>
      <c r="P9" s="49"/>
      <c r="Q9" s="49"/>
    </row>
    <row r="10" spans="1:22" s="15" customFormat="1" ht="18.75" customHeight="1">
      <c r="A10" s="55" t="s">
        <v>4</v>
      </c>
      <c r="B10" s="56"/>
      <c r="C10" s="57"/>
      <c r="D10" s="37" t="s">
        <v>5</v>
      </c>
      <c r="E10" s="18" t="s">
        <v>7</v>
      </c>
      <c r="F10" s="50">
        <v>1.2</v>
      </c>
      <c r="G10" s="50">
        <v>0.4</v>
      </c>
      <c r="H10" s="50">
        <v>1.05</v>
      </c>
      <c r="I10" s="50">
        <v>0.65</v>
      </c>
      <c r="J10" s="50">
        <v>0.9</v>
      </c>
      <c r="K10" s="50">
        <v>0.7</v>
      </c>
      <c r="L10" s="50">
        <v>0.6</v>
      </c>
      <c r="M10" s="50">
        <v>0.90100000000000002</v>
      </c>
      <c r="N10" s="50">
        <v>0.5</v>
      </c>
      <c r="O10" s="50">
        <v>0</v>
      </c>
      <c r="P10" s="50">
        <v>0</v>
      </c>
      <c r="Q10" s="50">
        <v>0</v>
      </c>
      <c r="S10" s="38" t="s">
        <v>15</v>
      </c>
    </row>
    <row r="11" spans="1:22" ht="7.5" customHeight="1">
      <c r="A11" s="8"/>
      <c r="B11" s="8"/>
      <c r="C11" s="8"/>
      <c r="D11" s="8"/>
      <c r="E11" s="8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1"/>
      <c r="Q11" s="41"/>
    </row>
    <row r="12" spans="1:22" s="15" customFormat="1" ht="18">
      <c r="A12" s="55" t="s">
        <v>8</v>
      </c>
      <c r="B12" s="56"/>
      <c r="C12" s="57"/>
      <c r="D12" s="35" t="s">
        <v>16</v>
      </c>
      <c r="E12" s="18" t="s">
        <v>6</v>
      </c>
      <c r="F12" s="36">
        <v>5</v>
      </c>
      <c r="G12" s="36">
        <v>5</v>
      </c>
      <c r="H12" s="36">
        <v>5</v>
      </c>
      <c r="I12" s="36">
        <v>5</v>
      </c>
      <c r="J12" s="36">
        <v>5</v>
      </c>
      <c r="K12" s="36">
        <v>5</v>
      </c>
      <c r="L12" s="36">
        <v>5</v>
      </c>
      <c r="M12" s="36">
        <v>5</v>
      </c>
      <c r="N12" s="36">
        <v>5</v>
      </c>
      <c r="O12" s="36">
        <v>5</v>
      </c>
      <c r="P12" s="36">
        <v>5</v>
      </c>
      <c r="Q12" s="36">
        <v>5</v>
      </c>
      <c r="S12" s="9" t="s">
        <v>45</v>
      </c>
      <c r="U12" s="9"/>
      <c r="V12" s="9"/>
    </row>
    <row r="13" spans="1:22" ht="18">
      <c r="A13" s="58" t="s">
        <v>24</v>
      </c>
      <c r="B13" s="59"/>
      <c r="C13" s="60"/>
      <c r="D13" s="6" t="s">
        <v>22</v>
      </c>
      <c r="E13" s="2" t="s">
        <v>23</v>
      </c>
      <c r="F13" s="34">
        <v>12</v>
      </c>
      <c r="G13" s="34">
        <v>12</v>
      </c>
      <c r="H13" s="34">
        <v>12</v>
      </c>
      <c r="I13" s="34">
        <v>12</v>
      </c>
      <c r="J13" s="34">
        <v>12</v>
      </c>
      <c r="K13" s="34">
        <v>12</v>
      </c>
      <c r="L13" s="34">
        <v>12</v>
      </c>
      <c r="M13" s="34">
        <v>12</v>
      </c>
      <c r="N13" s="34">
        <v>12</v>
      </c>
      <c r="O13" s="34">
        <v>12</v>
      </c>
      <c r="P13" s="34">
        <v>12</v>
      </c>
      <c r="Q13" s="34">
        <v>12</v>
      </c>
      <c r="S13" s="9" t="s">
        <v>52</v>
      </c>
      <c r="U13" s="9"/>
      <c r="V13" s="9"/>
    </row>
    <row r="14" spans="1:22" ht="18">
      <c r="A14" s="10"/>
      <c r="B14" s="10"/>
      <c r="C14" s="10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S14" s="9" t="s">
        <v>17</v>
      </c>
      <c r="U14" s="9"/>
      <c r="V14" s="9"/>
    </row>
    <row r="15" spans="1:22">
      <c r="A15" s="5" t="s">
        <v>53</v>
      </c>
      <c r="B15" s="10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S15" s="9"/>
      <c r="U15" s="9"/>
      <c r="V15" s="9"/>
    </row>
    <row r="16" spans="1:22" ht="15.75">
      <c r="A16" s="25" t="s">
        <v>54</v>
      </c>
      <c r="F16" s="33">
        <f>F8/F6</f>
        <v>0.1</v>
      </c>
      <c r="G16" s="33">
        <f t="shared" ref="G16:Q16" si="0">G8/G6</f>
        <v>0.2</v>
      </c>
      <c r="H16" s="33">
        <f t="shared" si="0"/>
        <v>0.1</v>
      </c>
      <c r="I16" s="33">
        <f t="shared" si="0"/>
        <v>0.16</v>
      </c>
      <c r="J16" s="33">
        <f t="shared" si="0"/>
        <v>0.1</v>
      </c>
      <c r="K16" s="33">
        <f t="shared" si="0"/>
        <v>0.2</v>
      </c>
      <c r="L16" s="33">
        <f t="shared" si="0"/>
        <v>0.1</v>
      </c>
      <c r="M16" s="33">
        <f t="shared" si="0"/>
        <v>0.1125</v>
      </c>
      <c r="N16" s="33">
        <f t="shared" si="0"/>
        <v>0.1</v>
      </c>
      <c r="O16" s="33" t="e">
        <f t="shared" si="0"/>
        <v>#DIV/0!</v>
      </c>
      <c r="P16" s="33" t="e">
        <f t="shared" si="0"/>
        <v>#DIV/0!</v>
      </c>
      <c r="Q16" s="33" t="e">
        <f t="shared" si="0"/>
        <v>#DIV/0!</v>
      </c>
      <c r="S16" s="9"/>
      <c r="U16" s="9"/>
      <c r="V16" s="9"/>
    </row>
    <row r="17" spans="1:22" ht="18">
      <c r="A17" s="25" t="s">
        <v>55</v>
      </c>
      <c r="B17" s="3"/>
      <c r="F17" s="33">
        <f>F10/F8</f>
        <v>0.15</v>
      </c>
      <c r="G17" s="33">
        <f t="shared" ref="G17:Q17" si="1">G10/G8</f>
        <v>0.05</v>
      </c>
      <c r="H17" s="33">
        <f t="shared" si="1"/>
        <v>0.15</v>
      </c>
      <c r="I17" s="33">
        <f t="shared" si="1"/>
        <v>8.1250000000000003E-2</v>
      </c>
      <c r="J17" s="33">
        <f t="shared" si="1"/>
        <v>0.15</v>
      </c>
      <c r="K17" s="33">
        <f t="shared" si="1"/>
        <v>6.9999999999999993E-2</v>
      </c>
      <c r="L17" s="33">
        <f t="shared" si="1"/>
        <v>9.9999999999999992E-2</v>
      </c>
      <c r="M17" s="33">
        <f t="shared" si="1"/>
        <v>0.10011111111111111</v>
      </c>
      <c r="N17" s="33">
        <f t="shared" si="1"/>
        <v>0.1</v>
      </c>
      <c r="O17" s="33" t="e">
        <f t="shared" si="1"/>
        <v>#DIV/0!</v>
      </c>
      <c r="P17" s="33" t="e">
        <f t="shared" si="1"/>
        <v>#DIV/0!</v>
      </c>
      <c r="Q17" s="33" t="e">
        <f t="shared" si="1"/>
        <v>#DIV/0!</v>
      </c>
      <c r="U17" s="9"/>
      <c r="V17" s="9"/>
    </row>
    <row r="18" spans="1:22" ht="15.75">
      <c r="A18" s="25"/>
      <c r="B18" s="3"/>
      <c r="S18" s="9"/>
      <c r="U18" s="9"/>
      <c r="V18" s="9"/>
    </row>
    <row r="19" spans="1:22">
      <c r="A19" s="5" t="s">
        <v>39</v>
      </c>
    </row>
    <row r="20" spans="1:22" ht="17.25">
      <c r="A20" s="58" t="s">
        <v>42</v>
      </c>
      <c r="B20" s="59"/>
      <c r="C20" s="60"/>
      <c r="D20" s="6" t="s">
        <v>30</v>
      </c>
      <c r="E20" s="2" t="s">
        <v>29</v>
      </c>
      <c r="F20" s="33">
        <v>988.1</v>
      </c>
    </row>
    <row r="21" spans="1:22" ht="17.25">
      <c r="A21" s="58" t="s">
        <v>43</v>
      </c>
      <c r="B21" s="59"/>
      <c r="C21" s="60"/>
      <c r="D21" s="6" t="s">
        <v>35</v>
      </c>
      <c r="E21" s="2" t="s">
        <v>44</v>
      </c>
      <c r="F21" s="33">
        <v>0.54300000000000004</v>
      </c>
    </row>
    <row r="22" spans="1:22" ht="18">
      <c r="A22" s="62" t="s">
        <v>47</v>
      </c>
      <c r="B22" s="62"/>
      <c r="C22" s="62"/>
      <c r="D22" s="6"/>
      <c r="E22" s="18" t="s">
        <v>26</v>
      </c>
      <c r="F22" s="33">
        <v>2.4</v>
      </c>
    </row>
    <row r="23" spans="1:22" ht="18">
      <c r="A23" s="62" t="s">
        <v>48</v>
      </c>
      <c r="B23" s="62"/>
      <c r="C23" s="62"/>
      <c r="D23" s="6"/>
      <c r="E23" s="18" t="s">
        <v>26</v>
      </c>
      <c r="F23" s="33">
        <v>1</v>
      </c>
      <c r="J23" s="43"/>
    </row>
    <row r="24" spans="1:22" ht="18">
      <c r="A24" s="62" t="s">
        <v>49</v>
      </c>
      <c r="B24" s="62"/>
      <c r="C24" s="62"/>
      <c r="D24" s="6"/>
      <c r="E24" s="18" t="s">
        <v>26</v>
      </c>
      <c r="F24" s="33">
        <v>12</v>
      </c>
    </row>
    <row r="25" spans="1:22" ht="18">
      <c r="A25" s="62" t="s">
        <v>50</v>
      </c>
      <c r="B25" s="62"/>
      <c r="C25" s="62"/>
      <c r="D25" s="6"/>
      <c r="E25" s="18" t="s">
        <v>26</v>
      </c>
      <c r="F25" s="33">
        <v>16.5</v>
      </c>
    </row>
    <row r="26" spans="1:22">
      <c r="A26" s="10"/>
      <c r="B26" s="10"/>
      <c r="C26" s="10"/>
      <c r="D26" s="11"/>
      <c r="E26" s="12"/>
    </row>
    <row r="27" spans="1:22">
      <c r="A27" s="5" t="s">
        <v>40</v>
      </c>
      <c r="B27" s="5"/>
      <c r="C27" s="4"/>
    </row>
    <row r="28" spans="1:22">
      <c r="A28" s="66" t="s">
        <v>18</v>
      </c>
      <c r="B28" s="66"/>
      <c r="C28" s="66"/>
      <c r="E28" s="18" t="s">
        <v>19</v>
      </c>
      <c r="F28" s="14">
        <f>(0.86*F10)*1000/F12</f>
        <v>206.4</v>
      </c>
      <c r="G28" s="14">
        <f t="shared" ref="G28:Q28" si="2">(0.86*G10)*1000/G12</f>
        <v>68.8</v>
      </c>
      <c r="H28" s="14">
        <f t="shared" si="2"/>
        <v>180.6</v>
      </c>
      <c r="I28" s="14">
        <f t="shared" si="2"/>
        <v>111.8</v>
      </c>
      <c r="J28" s="14">
        <f t="shared" si="2"/>
        <v>154.80000000000001</v>
      </c>
      <c r="K28" s="14">
        <f t="shared" si="2"/>
        <v>120.4</v>
      </c>
      <c r="L28" s="14">
        <f t="shared" si="2"/>
        <v>103.2</v>
      </c>
      <c r="M28" s="14">
        <f t="shared" si="2"/>
        <v>154.97200000000001</v>
      </c>
      <c r="N28" s="14">
        <f t="shared" si="2"/>
        <v>86</v>
      </c>
      <c r="O28" s="14">
        <f t="shared" si="2"/>
        <v>0</v>
      </c>
      <c r="P28" s="14">
        <f t="shared" si="2"/>
        <v>0</v>
      </c>
      <c r="Q28" s="14">
        <f t="shared" si="2"/>
        <v>0</v>
      </c>
    </row>
    <row r="29" spans="1:22">
      <c r="A29" s="66" t="s">
        <v>20</v>
      </c>
      <c r="B29" s="66"/>
      <c r="C29" s="66"/>
      <c r="E29" s="18" t="s">
        <v>21</v>
      </c>
      <c r="F29" s="7">
        <f>(0.278*4*F28)/(3.1415*F13*F13)</f>
        <v>0.50735848055599775</v>
      </c>
      <c r="G29" s="7">
        <f t="shared" ref="G29:Q29" si="3">(0.278*4*G28)/(3.1415*G13*G13)</f>
        <v>0.1691194935186659</v>
      </c>
      <c r="H29" s="7">
        <f t="shared" si="3"/>
        <v>0.44393867048649799</v>
      </c>
      <c r="I29" s="7">
        <f t="shared" si="3"/>
        <v>0.27481917696783209</v>
      </c>
      <c r="J29" s="7">
        <f t="shared" si="3"/>
        <v>0.38051886041699834</v>
      </c>
      <c r="K29" s="7">
        <f t="shared" si="3"/>
        <v>0.29595911365766536</v>
      </c>
      <c r="L29" s="7">
        <f t="shared" si="3"/>
        <v>0.25367924027799887</v>
      </c>
      <c r="M29" s="7">
        <f t="shared" si="3"/>
        <v>0.38094165915079503</v>
      </c>
      <c r="N29" s="7">
        <f t="shared" si="3"/>
        <v>0.21139936689833239</v>
      </c>
      <c r="O29" s="7">
        <f t="shared" si="3"/>
        <v>0</v>
      </c>
      <c r="P29" s="7">
        <f t="shared" si="3"/>
        <v>0</v>
      </c>
      <c r="Q29" s="7">
        <f t="shared" si="3"/>
        <v>0</v>
      </c>
    </row>
    <row r="30" spans="1:22">
      <c r="A30" s="61" t="s">
        <v>41</v>
      </c>
      <c r="B30" s="61"/>
      <c r="C30" s="61"/>
      <c r="E30" s="18" t="s">
        <v>51</v>
      </c>
      <c r="F30" s="20">
        <f>14.7*(($F21*0.000001)^0.25)*$F20*(F28^1.75)/(F13^4.75)</f>
        <v>33.14738216236227</v>
      </c>
      <c r="G30" s="20">
        <f t="shared" ref="G30:Q30" si="4">14.7*(($F21*0.000001)^0.25)*$F20*(G28^1.75)/(G13^4.75)</f>
        <v>4.8471564734766623</v>
      </c>
      <c r="H30" s="20">
        <f t="shared" si="4"/>
        <v>26.239969637284513</v>
      </c>
      <c r="I30" s="20">
        <f t="shared" si="4"/>
        <v>11.336537499125766</v>
      </c>
      <c r="J30" s="20">
        <f t="shared" si="4"/>
        <v>20.035788857065413</v>
      </c>
      <c r="K30" s="20">
        <f t="shared" si="4"/>
        <v>12.906355542696948</v>
      </c>
      <c r="L30" s="20">
        <f t="shared" si="4"/>
        <v>9.8547756777988766</v>
      </c>
      <c r="M30" s="20">
        <f t="shared" si="4"/>
        <v>20.074763566595376</v>
      </c>
      <c r="N30" s="20">
        <f t="shared" si="4"/>
        <v>7.1627461911187096</v>
      </c>
      <c r="O30" s="20">
        <f t="shared" si="4"/>
        <v>0</v>
      </c>
      <c r="P30" s="20">
        <f t="shared" si="4"/>
        <v>0</v>
      </c>
      <c r="Q30" s="20">
        <f t="shared" si="4"/>
        <v>0</v>
      </c>
    </row>
    <row r="31" spans="1:22">
      <c r="A31" s="65"/>
      <c r="B31" s="65"/>
      <c r="C31" s="65"/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22">
      <c r="A32" s="66" t="s">
        <v>11</v>
      </c>
      <c r="B32" s="66"/>
      <c r="C32" s="66"/>
      <c r="E32" s="21" t="s">
        <v>25</v>
      </c>
      <c r="F32" s="22">
        <f>F30*F6</f>
        <v>2651.7905729889817</v>
      </c>
      <c r="G32" s="22">
        <f t="shared" ref="G32:Q32" si="5">G30*G6</f>
        <v>193.88625893906649</v>
      </c>
      <c r="H32" s="22">
        <f t="shared" si="5"/>
        <v>1836.7978746099159</v>
      </c>
      <c r="I32" s="22">
        <f t="shared" si="5"/>
        <v>566.82687495628829</v>
      </c>
      <c r="J32" s="22">
        <f t="shared" si="5"/>
        <v>1202.1473314239247</v>
      </c>
      <c r="K32" s="22">
        <f t="shared" si="5"/>
        <v>645.31777713484746</v>
      </c>
      <c r="L32" s="22">
        <f>L30*L6</f>
        <v>591.28654066793263</v>
      </c>
      <c r="M32" s="22">
        <f t="shared" si="5"/>
        <v>1605.9810853276301</v>
      </c>
      <c r="N32" s="22">
        <f t="shared" si="5"/>
        <v>358.13730955593547</v>
      </c>
      <c r="O32" s="22">
        <f t="shared" si="5"/>
        <v>0</v>
      </c>
      <c r="P32" s="22">
        <f t="shared" si="5"/>
        <v>0</v>
      </c>
      <c r="Q32" s="22">
        <f t="shared" si="5"/>
        <v>0</v>
      </c>
    </row>
    <row r="33" spans="1:17">
      <c r="A33" s="66" t="s">
        <v>33</v>
      </c>
      <c r="B33" s="66"/>
      <c r="C33" s="66"/>
      <c r="E33" s="18" t="s">
        <v>25</v>
      </c>
      <c r="F33" s="14">
        <f>F32*1.3</f>
        <v>3447.3277448856761</v>
      </c>
      <c r="G33" s="14">
        <f t="shared" ref="G33:Q33" si="6">G32*1.3</f>
        <v>252.05213662078646</v>
      </c>
      <c r="H33" s="14">
        <f t="shared" si="6"/>
        <v>2387.8372369928907</v>
      </c>
      <c r="I33" s="14">
        <f t="shared" si="6"/>
        <v>736.87493744317476</v>
      </c>
      <c r="J33" s="14">
        <f t="shared" si="6"/>
        <v>1562.7915308511022</v>
      </c>
      <c r="K33" s="14">
        <f t="shared" si="6"/>
        <v>838.91311027530173</v>
      </c>
      <c r="L33" s="14">
        <f t="shared" si="6"/>
        <v>768.67250286831245</v>
      </c>
      <c r="M33" s="14">
        <f t="shared" si="6"/>
        <v>2087.7754109259195</v>
      </c>
      <c r="N33" s="14">
        <f t="shared" si="6"/>
        <v>465.57850242271616</v>
      </c>
      <c r="O33" s="14">
        <f t="shared" si="6"/>
        <v>0</v>
      </c>
      <c r="P33" s="14">
        <f t="shared" si="6"/>
        <v>0</v>
      </c>
      <c r="Q33" s="14">
        <f t="shared" si="6"/>
        <v>0</v>
      </c>
    </row>
    <row r="34" spans="1:17">
      <c r="A34" s="66" t="s">
        <v>13</v>
      </c>
      <c r="B34" s="66"/>
      <c r="C34" s="66"/>
      <c r="E34" s="18" t="s">
        <v>25</v>
      </c>
      <c r="F34" s="14">
        <f t="shared" ref="F34:Q34" si="7">((F28*0.001/$F22)^2)*10000</f>
        <v>73.960000000000022</v>
      </c>
      <c r="G34" s="14">
        <f t="shared" si="7"/>
        <v>8.2177777777777781</v>
      </c>
      <c r="H34" s="14">
        <f t="shared" si="7"/>
        <v>56.625625000000021</v>
      </c>
      <c r="I34" s="14">
        <f t="shared" si="7"/>
        <v>21.700069444444441</v>
      </c>
      <c r="J34" s="14">
        <f t="shared" si="7"/>
        <v>41.602500000000013</v>
      </c>
      <c r="K34" s="14">
        <f t="shared" si="7"/>
        <v>25.16694444444445</v>
      </c>
      <c r="L34" s="14">
        <f t="shared" si="7"/>
        <v>18.490000000000006</v>
      </c>
      <c r="M34" s="14">
        <f t="shared" si="7"/>
        <v>41.69500136111111</v>
      </c>
      <c r="N34" s="14">
        <f t="shared" si="7"/>
        <v>12.840277777777779</v>
      </c>
      <c r="O34" s="14">
        <f t="shared" si="7"/>
        <v>0</v>
      </c>
      <c r="P34" s="14">
        <f t="shared" si="7"/>
        <v>0</v>
      </c>
      <c r="Q34" s="14">
        <f t="shared" si="7"/>
        <v>0</v>
      </c>
    </row>
    <row r="35" spans="1:17">
      <c r="A35" s="66" t="s">
        <v>12</v>
      </c>
      <c r="B35" s="66"/>
      <c r="C35" s="66"/>
      <c r="E35" s="18" t="s">
        <v>25</v>
      </c>
      <c r="F35" s="14">
        <f t="shared" ref="F35:Q35" si="8">((F28*0.001/$F23)^2)*10000</f>
        <v>426.00959999999998</v>
      </c>
      <c r="G35" s="14">
        <f t="shared" si="8"/>
        <v>47.334400000000002</v>
      </c>
      <c r="H35" s="14">
        <f t="shared" si="8"/>
        <v>326.16360000000003</v>
      </c>
      <c r="I35" s="14">
        <f t="shared" si="8"/>
        <v>124.9924</v>
      </c>
      <c r="J35" s="14">
        <f t="shared" si="8"/>
        <v>239.63040000000004</v>
      </c>
      <c r="K35" s="14">
        <f t="shared" si="8"/>
        <v>144.9616</v>
      </c>
      <c r="L35" s="14">
        <f t="shared" si="8"/>
        <v>106.50239999999999</v>
      </c>
      <c r="M35" s="14">
        <f t="shared" si="8"/>
        <v>240.16320784000001</v>
      </c>
      <c r="N35" s="14">
        <f t="shared" si="8"/>
        <v>73.960000000000022</v>
      </c>
      <c r="O35" s="14">
        <f t="shared" si="8"/>
        <v>0</v>
      </c>
      <c r="P35" s="14">
        <f t="shared" si="8"/>
        <v>0</v>
      </c>
      <c r="Q35" s="14">
        <f t="shared" si="8"/>
        <v>0</v>
      </c>
    </row>
    <row r="36" spans="1:17">
      <c r="A36" s="67" t="s">
        <v>32</v>
      </c>
      <c r="B36" s="67"/>
      <c r="C36" s="67"/>
      <c r="E36" s="18" t="s">
        <v>25</v>
      </c>
      <c r="F36" s="14">
        <f t="shared" ref="F36:Q36" si="9">F33+F34+F35</f>
        <v>3947.297344885676</v>
      </c>
      <c r="G36" s="14">
        <f t="shared" si="9"/>
        <v>307.60431439856427</v>
      </c>
      <c r="H36" s="14">
        <f t="shared" si="9"/>
        <v>2770.6264619928907</v>
      </c>
      <c r="I36" s="14">
        <f t="shared" si="9"/>
        <v>883.5674068876192</v>
      </c>
      <c r="J36" s="14">
        <f t="shared" si="9"/>
        <v>1844.0244308511021</v>
      </c>
      <c r="K36" s="14">
        <f t="shared" si="9"/>
        <v>1009.0416547197461</v>
      </c>
      <c r="L36" s="14">
        <f t="shared" si="9"/>
        <v>893.66490286831242</v>
      </c>
      <c r="M36" s="14">
        <f t="shared" si="9"/>
        <v>2369.6336201270306</v>
      </c>
      <c r="N36" s="14">
        <f t="shared" si="9"/>
        <v>552.37878020049391</v>
      </c>
      <c r="O36" s="14">
        <f t="shared" si="9"/>
        <v>0</v>
      </c>
      <c r="P36" s="14">
        <f t="shared" si="9"/>
        <v>0</v>
      </c>
      <c r="Q36" s="14">
        <f t="shared" si="9"/>
        <v>0</v>
      </c>
    </row>
    <row r="37" spans="1:17">
      <c r="A37" s="10"/>
      <c r="B37" s="10"/>
      <c r="C37" s="10"/>
      <c r="D37" s="11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66" t="s">
        <v>34</v>
      </c>
      <c r="B38" s="66"/>
      <c r="C38" s="66"/>
      <c r="E38" s="19" t="s">
        <v>25</v>
      </c>
      <c r="F38" s="14">
        <f t="shared" ref="F38:N38" si="10">MAX($F36:$Q36)</f>
        <v>3947.297344885676</v>
      </c>
      <c r="G38" s="14">
        <f t="shared" si="10"/>
        <v>3947.297344885676</v>
      </c>
      <c r="H38" s="14">
        <f t="shared" si="10"/>
        <v>3947.297344885676</v>
      </c>
      <c r="I38" s="14">
        <f t="shared" si="10"/>
        <v>3947.297344885676</v>
      </c>
      <c r="J38" s="14">
        <f t="shared" si="10"/>
        <v>3947.297344885676</v>
      </c>
      <c r="K38" s="14">
        <f t="shared" si="10"/>
        <v>3947.297344885676</v>
      </c>
      <c r="L38" s="14">
        <f t="shared" si="10"/>
        <v>3947.297344885676</v>
      </c>
      <c r="M38" s="14">
        <f t="shared" si="10"/>
        <v>3947.297344885676</v>
      </c>
      <c r="N38" s="14">
        <f t="shared" si="10"/>
        <v>3947.297344885676</v>
      </c>
      <c r="O38" s="14">
        <f>MAX(F36:Q36)</f>
        <v>3947.297344885676</v>
      </c>
      <c r="P38" s="14">
        <f>MAX(F36:Q36)</f>
        <v>3947.297344885676</v>
      </c>
      <c r="Q38" s="14">
        <f>MAX(F36:Q36)</f>
        <v>3947.297344885676</v>
      </c>
    </row>
    <row r="39" spans="1:17">
      <c r="A39" s="66" t="s">
        <v>27</v>
      </c>
      <c r="B39" s="66"/>
      <c r="C39" s="66"/>
      <c r="E39" s="19" t="s">
        <v>25</v>
      </c>
      <c r="F39" s="14">
        <f t="shared" ref="F39:Q39" si="11">F38-F33-F34</f>
        <v>426.00959999999986</v>
      </c>
      <c r="G39" s="14">
        <f t="shared" si="11"/>
        <v>3687.0274304871118</v>
      </c>
      <c r="H39" s="14">
        <f t="shared" si="11"/>
        <v>1502.8344828927852</v>
      </c>
      <c r="I39" s="14">
        <f t="shared" si="11"/>
        <v>3188.7223379980564</v>
      </c>
      <c r="J39" s="14">
        <f t="shared" si="11"/>
        <v>2342.9033140345737</v>
      </c>
      <c r="K39" s="14">
        <f t="shared" si="11"/>
        <v>3083.2172901659296</v>
      </c>
      <c r="L39" s="14">
        <f t="shared" si="11"/>
        <v>3160.1348420173636</v>
      </c>
      <c r="M39" s="14">
        <f t="shared" si="11"/>
        <v>1817.8269325986455</v>
      </c>
      <c r="N39" s="14">
        <f t="shared" si="11"/>
        <v>3468.878564685182</v>
      </c>
      <c r="O39" s="14">
        <f t="shared" si="11"/>
        <v>3947.297344885676</v>
      </c>
      <c r="P39" s="14">
        <f t="shared" si="11"/>
        <v>3947.297344885676</v>
      </c>
      <c r="Q39" s="14">
        <f t="shared" si="11"/>
        <v>3947.297344885676</v>
      </c>
    </row>
    <row r="40" spans="1:17" ht="18">
      <c r="A40" s="66" t="s">
        <v>28</v>
      </c>
      <c r="B40" s="66"/>
      <c r="C40" s="66"/>
      <c r="E40" s="18" t="s">
        <v>26</v>
      </c>
      <c r="F40" s="7">
        <f t="shared" ref="F40:Q40" si="12">F28*0.001/(F39*0.0001)^0.5</f>
        <v>1.0000000000000002</v>
      </c>
      <c r="G40" s="7">
        <f t="shared" si="12"/>
        <v>0.11330530753792345</v>
      </c>
      <c r="H40" s="7">
        <f t="shared" si="12"/>
        <v>0.46586723838763228</v>
      </c>
      <c r="I40" s="7">
        <f t="shared" si="12"/>
        <v>0.19798553043964176</v>
      </c>
      <c r="J40" s="7">
        <f t="shared" si="12"/>
        <v>0.31981127662104825</v>
      </c>
      <c r="K40" s="7">
        <f t="shared" si="12"/>
        <v>0.21683252168957304</v>
      </c>
      <c r="L40" s="7">
        <f t="shared" si="12"/>
        <v>0.1835806444857242</v>
      </c>
      <c r="M40" s="7">
        <f t="shared" si="12"/>
        <v>0.36347703030522954</v>
      </c>
      <c r="N40" s="7">
        <f t="shared" si="12"/>
        <v>0.14601716188987551</v>
      </c>
      <c r="O40" s="7">
        <f t="shared" si="12"/>
        <v>0</v>
      </c>
      <c r="P40" s="7">
        <f t="shared" si="12"/>
        <v>0</v>
      </c>
      <c r="Q40" s="7">
        <f t="shared" si="12"/>
        <v>0</v>
      </c>
    </row>
    <row r="41" spans="1:17">
      <c r="A41" s="17"/>
      <c r="B41" s="17"/>
      <c r="C41" s="17"/>
    </row>
    <row r="42" spans="1:17" ht="21">
      <c r="A42" s="44" t="s">
        <v>56</v>
      </c>
      <c r="B42" s="45"/>
      <c r="C42" s="46"/>
    </row>
    <row r="43" spans="1:17">
      <c r="A43" s="1"/>
      <c r="B43" s="1"/>
      <c r="C43" s="1"/>
    </row>
    <row r="44" spans="1:17" ht="21">
      <c r="A44" s="63" t="s">
        <v>70</v>
      </c>
      <c r="B44" s="63"/>
      <c r="C44" s="63"/>
      <c r="D44" s="63"/>
      <c r="E44" s="18" t="s">
        <v>31</v>
      </c>
      <c r="F44" s="39">
        <f>F28/60</f>
        <v>3.44</v>
      </c>
      <c r="G44" s="39">
        <f t="shared" ref="G44:Q44" si="13">G28/60</f>
        <v>1.1466666666666667</v>
      </c>
      <c r="H44" s="39">
        <f t="shared" si="13"/>
        <v>3.01</v>
      </c>
      <c r="I44" s="39">
        <f t="shared" si="13"/>
        <v>1.8633333333333333</v>
      </c>
      <c r="J44" s="39">
        <f t="shared" si="13"/>
        <v>2.58</v>
      </c>
      <c r="K44" s="39">
        <f t="shared" si="13"/>
        <v>2.0066666666666668</v>
      </c>
      <c r="L44" s="39">
        <f t="shared" si="13"/>
        <v>1.72</v>
      </c>
      <c r="M44" s="39">
        <f t="shared" si="13"/>
        <v>2.5828666666666669</v>
      </c>
      <c r="N44" s="39">
        <f t="shared" si="13"/>
        <v>1.4333333333333333</v>
      </c>
      <c r="O44" s="39">
        <f t="shared" si="13"/>
        <v>0</v>
      </c>
      <c r="P44" s="39">
        <f t="shared" si="13"/>
        <v>0</v>
      </c>
      <c r="Q44" s="39">
        <f t="shared" si="13"/>
        <v>0</v>
      </c>
    </row>
    <row r="45" spans="1:17" ht="7.5" customHeight="1">
      <c r="A45" s="8"/>
      <c r="B45" s="8"/>
      <c r="C45" s="8"/>
      <c r="D45" s="8"/>
      <c r="E45" s="8"/>
      <c r="F45" s="40"/>
      <c r="G45" s="40"/>
      <c r="H45" s="40"/>
      <c r="I45" s="40"/>
      <c r="J45" s="40"/>
      <c r="K45" s="40"/>
      <c r="L45" s="40"/>
      <c r="M45" s="40"/>
      <c r="N45" s="41"/>
      <c r="O45" s="41"/>
      <c r="P45" s="41"/>
      <c r="Q45" s="41"/>
    </row>
    <row r="46" spans="1:17" ht="21">
      <c r="A46" s="16" t="s">
        <v>71</v>
      </c>
      <c r="B46" s="16"/>
      <c r="C46" s="16"/>
      <c r="D46" s="16"/>
      <c r="E46" s="18" t="s">
        <v>51</v>
      </c>
      <c r="F46" s="42" t="str">
        <f>LOOKUP(F40,{0,0.03,0.06,0.12,0.18,0.19,0.21,0.24,0.27,0.29,0.31,0.36,0.42,0.47,0.53,0.61,0.7,0.79,0.89,1.02,1.15},{"0","0,5","1","1,5","2","2,5","3","3,5","4","4,5","5","5,5","6","6,5","7","7,5","8","8,5","9","9,5","10"})</f>
        <v>9</v>
      </c>
      <c r="G46" s="42" t="str">
        <f>LOOKUP(G40,{0,0.03,0.06,0.12,0.18,0.19,0.21,0.24,0.27,0.29,0.31,0.36,0.42,0.47,0.53,0.61,0.7,0.79,0.89,1.02,1.15},{"0","0,5","1","1,5","2","2,5","3","3,5","4","4,5","5","5,5","6","6,5","7","7,5","8","8,5","9","9,5","10"})</f>
        <v>1</v>
      </c>
      <c r="H46" s="42" t="str">
        <f>LOOKUP(H40,{0,0.03,0.06,0.12,0.18,0.19,0.21,0.24,0.27,0.29,0.31,0.36,0.42,0.47,0.53,0.61,0.7,0.79,0.89,1.02,1.15},{"0","0,5","1","1,5","2","2,5","3","3,5","4","4,5","5","5,5","6","6,5","7","7,5","8","8,5","9","9,5","10"})</f>
        <v>6</v>
      </c>
      <c r="I46" s="42" t="str">
        <f>LOOKUP(I40,{0,0.03,0.06,0.12,0.18,0.19,0.21,0.24,0.27,0.29,0.31,0.36,0.42,0.47,0.53,0.61,0.7,0.79,0.89,1.02,1.15},{"0","0,5","1","1,5","2","2,5","3","3,5","4","4,5","5","5,5","6","6,5","7","7,5","8","8,5","9","9,5","10"})</f>
        <v>2,5</v>
      </c>
      <c r="J46" s="42" t="str">
        <f>LOOKUP(J40,{0,0.03,0.06,0.12,0.18,0.19,0.21,0.24,0.27,0.29,0.31,0.36,0.42,0.47,0.53,0.61,0.7,0.79,0.89,1.02,1.15},{"0","0,5","1","1,5","2","2,5","3","3,5","4","4,5","5","5,5","6","6,5","7","7,5","8","8,5","9","9,5","10"})</f>
        <v>5</v>
      </c>
      <c r="K46" s="42" t="str">
        <f>LOOKUP(K40,{0,0.03,0.06,0.12,0.18,0.19,0.21,0.24,0.27,0.29,0.31,0.36,0.42,0.47,0.53,0.61,0.7,0.79,0.89,1.02,1.15},{"0","0,5","1","1,5","2","2,5","3","3,5","4","4,5","5","5,5","6","6,5","7","7,5","8","8,5","9","9,5","10"})</f>
        <v>3</v>
      </c>
      <c r="L46" s="42" t="str">
        <f>LOOKUP(L40,{0,0.03,0.06,0.12,0.18,0.19,0.21,0.24,0.27,0.29,0.31,0.36,0.42,0.47,0.53,0.61,0.7,0.79,0.89,1.02,1.15},{"0","0,5","1","1,5","2","2,5","3","3,5","4","4,5","5","5,5","6","6,5","7","7,5","8","8,5","9","9,5","10"})</f>
        <v>2</v>
      </c>
      <c r="M46" s="42" t="str">
        <f>LOOKUP(M40,{0,0.03,0.06,0.12,0.18,0.19,0.21,0.24,0.27,0.29,0.31,0.36,0.42,0.47,0.53,0.61,0.7,0.79,0.89,1.02,1.15},{"0","0,5","1","1,5","2","2,5","3","3,5","4","4,5","5","5,5","6","6,5","7","7,5","8","8,5","9","9,5","10"})</f>
        <v>5,5</v>
      </c>
      <c r="N46" s="42" t="str">
        <f>LOOKUP(N40,{0,0.03,0.06,0.12,0.18,0.19,0.21,0.24,0.27,0.29,0.31,0.36,0.42,0.47,0.53,0.61,0.7,0.79,0.89,1.02,1.15},{"0","0,5","1","1,5","2","2,5","3","3,5","4","4,5","5","5,5","6","6,5","7","7,5","8","8,5","9","9,5","10"})</f>
        <v>1,5</v>
      </c>
      <c r="O46" s="42" t="str">
        <f>LOOKUP(O40,{0,0.03,0.06,0.12,0.18,0.19,0.21,0.24,0.27,0.29,0.31,0.36,0.42,0.47,0.53,0.61,0.7,0.79,0.89,1.02,1.15},{"0","0,5","1","1,5","2","2,5","3","3,5","4","4,5","5","5,5","6","6,5","7","7,5","8","8,5","9","9,5","10"})</f>
        <v>0</v>
      </c>
      <c r="P46" s="42" t="str">
        <f>LOOKUP(P40,{0,0.03,0.06,0.12,0.18,0.19,0.21,0.24,0.27,0.29,0.31,0.36,0.42,0.47,0.53,0.61,0.7,0.79,0.89,1.02,1.15},{"0","0,5","1","1,5","2","2,5","3","3,5","4","4,5","5","5,5","6","6,5","7","7,5","8","8,5","9","9,5","10"})</f>
        <v>0</v>
      </c>
      <c r="Q46" s="42" t="str">
        <f>LOOKUP(Q40,{0,0.03,0.06,0.12,0.18,0.19,0.21,0.24,0.27,0.29,0.31,0.36,0.42,0.47,0.53,0.61,0.7,0.79,0.89,1.02,1.15},{"0","0,5","1","1,5","2","2,5","3","3,5","4","4,5","5","5,5","6","6,5","7","7,5","8","8,5","9","9,5","10"})</f>
        <v>0</v>
      </c>
    </row>
    <row r="48" spans="1:17" ht="21">
      <c r="A48" s="44" t="s">
        <v>38</v>
      </c>
      <c r="B48" s="45"/>
      <c r="C48" s="46"/>
    </row>
    <row r="49" spans="1:15">
      <c r="A49" s="5"/>
    </row>
    <row r="50" spans="1:15" ht="21">
      <c r="A50" s="51" t="s">
        <v>37</v>
      </c>
      <c r="B50" s="51"/>
      <c r="C50" s="51"/>
      <c r="E50" s="26" t="s">
        <v>26</v>
      </c>
      <c r="F50" s="52">
        <f>SUM(F28:Q28)/1000</f>
        <v>1.1869719999999999</v>
      </c>
      <c r="J50" s="31"/>
    </row>
    <row r="51" spans="1:15" ht="21">
      <c r="A51" s="51" t="s">
        <v>36</v>
      </c>
      <c r="B51" s="51"/>
      <c r="C51" s="51"/>
      <c r="E51" s="26" t="s">
        <v>25</v>
      </c>
      <c r="F51" s="53">
        <f>F38+(2*((F50*0.001/F24)^2)*10000)+(2*((F50*0.001/F25)^2)*10000)</f>
        <v>3947.2976440672278</v>
      </c>
      <c r="J51" s="31"/>
    </row>
    <row r="52" spans="1:15">
      <c r="A52" s="27"/>
      <c r="B52" s="27"/>
      <c r="C52" s="27"/>
      <c r="E52" s="26"/>
    </row>
    <row r="53" spans="1:15">
      <c r="A53" s="27"/>
      <c r="B53" s="27"/>
      <c r="C53" s="27"/>
      <c r="J53" s="32"/>
    </row>
    <row r="60" spans="1:15">
      <c r="M60" s="30"/>
      <c r="O60" s="29"/>
    </row>
    <row r="61" spans="1:15">
      <c r="M61" s="30"/>
      <c r="O61" s="29"/>
    </row>
    <row r="62" spans="1:15">
      <c r="M62" s="30"/>
      <c r="O62" s="29"/>
    </row>
    <row r="63" spans="1:15">
      <c r="M63" s="30"/>
      <c r="O63" s="29"/>
    </row>
    <row r="64" spans="1:15">
      <c r="M64" s="30"/>
      <c r="O64" s="29"/>
    </row>
    <row r="65" spans="13:15">
      <c r="M65" s="30"/>
      <c r="O65" s="29"/>
    </row>
    <row r="66" spans="13:15">
      <c r="M66" s="30"/>
      <c r="O66" s="29"/>
    </row>
    <row r="67" spans="13:15">
      <c r="M67" s="30"/>
      <c r="O67" s="29"/>
    </row>
    <row r="71" spans="13:15">
      <c r="M71" s="30"/>
    </row>
  </sheetData>
  <mergeCells count="25">
    <mergeCell ref="A44:D44"/>
    <mergeCell ref="F3:Q3"/>
    <mergeCell ref="A31:C31"/>
    <mergeCell ref="A34:C34"/>
    <mergeCell ref="A39:C39"/>
    <mergeCell ref="A40:C40"/>
    <mergeCell ref="A20:C20"/>
    <mergeCell ref="A21:C21"/>
    <mergeCell ref="A36:C36"/>
    <mergeCell ref="A6:C6"/>
    <mergeCell ref="A35:C35"/>
    <mergeCell ref="A38:C38"/>
    <mergeCell ref="A32:C32"/>
    <mergeCell ref="A33:C33"/>
    <mergeCell ref="A28:C28"/>
    <mergeCell ref="A29:C29"/>
    <mergeCell ref="A8:C8"/>
    <mergeCell ref="A10:C10"/>
    <mergeCell ref="A12:C12"/>
    <mergeCell ref="A13:C13"/>
    <mergeCell ref="A30:C30"/>
    <mergeCell ref="A22:C22"/>
    <mergeCell ref="A23:C23"/>
    <mergeCell ref="A24:C24"/>
    <mergeCell ref="A25:C2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ignoredErrors>
    <ignoredError sqref="F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</dc:creator>
  <cp:lastModifiedBy>Николай</cp:lastModifiedBy>
  <cp:lastPrinted>2015-07-20T14:30:41Z</cp:lastPrinted>
  <dcterms:created xsi:type="dcterms:W3CDTF">2015-04-27T13:31:27Z</dcterms:created>
  <dcterms:modified xsi:type="dcterms:W3CDTF">2016-04-07T19:53:42Z</dcterms:modified>
</cp:coreProperties>
</file>